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СТРУКТУРА НА ОПОВІЩЕННЯ (2)" sheetId="4" r:id="rId1"/>
  </sheets>
  <calcPr calcId="125725"/>
</workbook>
</file>

<file path=xl/calcChain.xml><?xml version="1.0" encoding="utf-8"?>
<calcChain xmlns="http://schemas.openxmlformats.org/spreadsheetml/2006/main">
  <c r="E64" i="4"/>
  <c r="E63"/>
  <c r="E30"/>
  <c r="C30"/>
  <c r="E22"/>
  <c r="C22"/>
  <c r="F8"/>
  <c r="F9"/>
  <c r="F10"/>
  <c r="F11"/>
  <c r="F12"/>
  <c r="F15"/>
  <c r="F16"/>
  <c r="F17"/>
  <c r="F19"/>
  <c r="F21"/>
  <c r="F22"/>
  <c r="F23"/>
  <c r="F24"/>
  <c r="F26"/>
  <c r="F28"/>
  <c r="F29"/>
  <c r="F30"/>
  <c r="F32"/>
  <c r="F33"/>
  <c r="F34"/>
  <c r="F35"/>
  <c r="F36"/>
  <c r="F37"/>
  <c r="D12"/>
  <c r="D15"/>
  <c r="D16"/>
  <c r="D17"/>
  <c r="D19"/>
  <c r="D21"/>
  <c r="D22"/>
  <c r="D23"/>
  <c r="D24"/>
  <c r="D26"/>
  <c r="D28"/>
  <c r="D29"/>
  <c r="D30"/>
  <c r="D32"/>
  <c r="D33"/>
  <c r="D34"/>
  <c r="D35"/>
  <c r="D36"/>
  <c r="D37"/>
  <c r="D11"/>
  <c r="D8"/>
  <c r="D9"/>
  <c r="D10"/>
  <c r="E65" l="1"/>
  <c r="C65"/>
  <c r="E27" l="1"/>
  <c r="C27"/>
  <c r="F27" l="1"/>
  <c r="C25"/>
  <c r="D27"/>
  <c r="E20"/>
  <c r="C20"/>
  <c r="C18" s="1"/>
  <c r="E14"/>
  <c r="C14"/>
  <c r="C13" l="1"/>
  <c r="D14"/>
  <c r="F14"/>
  <c r="D25"/>
  <c r="F20"/>
  <c r="D20"/>
  <c r="C31"/>
  <c r="E25"/>
  <c r="B29"/>
  <c r="E18"/>
  <c r="E13"/>
  <c r="C7"/>
  <c r="E7"/>
  <c r="F13" l="1"/>
  <c r="D13"/>
  <c r="D31"/>
  <c r="F25"/>
  <c r="F18"/>
  <c r="D18"/>
  <c r="F7"/>
  <c r="D7"/>
  <c r="E31"/>
  <c r="C6"/>
  <c r="E6"/>
  <c r="C38"/>
  <c r="C54" l="1"/>
  <c r="E38"/>
  <c r="F31"/>
  <c r="F6"/>
  <c r="D38"/>
  <c r="D6"/>
  <c r="C39"/>
  <c r="E54" l="1"/>
  <c r="E61"/>
  <c r="C55"/>
  <c r="C56" s="1"/>
  <c r="E39"/>
  <c r="C61"/>
  <c r="F38"/>
  <c r="E55" l="1"/>
  <c r="E56" s="1"/>
  <c r="C59"/>
  <c r="C63"/>
  <c r="C64" s="1"/>
  <c r="E59" l="1"/>
</calcChain>
</file>

<file path=xl/sharedStrings.xml><?xml version="1.0" encoding="utf-8"?>
<sst xmlns="http://schemas.openxmlformats.org/spreadsheetml/2006/main" count="96" uniqueCount="86">
  <si>
    <t>N з/п</t>
  </si>
  <si>
    <t xml:space="preserve">Показник </t>
  </si>
  <si>
    <t>1</t>
  </si>
  <si>
    <t xml:space="preserve">Виробнича собівартість, усього, у тому числі:                                   </t>
  </si>
  <si>
    <t>1.1</t>
  </si>
  <si>
    <t xml:space="preserve">Прямі матеріальні витрати, у тому числі: </t>
  </si>
  <si>
    <t>1.1.1</t>
  </si>
  <si>
    <t xml:space="preserve">електроенергія </t>
  </si>
  <si>
    <t>1.1.2</t>
  </si>
  <si>
    <t>витрати на придбання води в інших підприємствах</t>
  </si>
  <si>
    <t>1.1.3</t>
  </si>
  <si>
    <t>витрати на реагенти</t>
  </si>
  <si>
    <t>матеріали, запасні частини та інші матеріальні ресурси ремонти</t>
  </si>
  <si>
    <t>1.2</t>
  </si>
  <si>
    <t xml:space="preserve">Прямі витрати на оплату праці            </t>
  </si>
  <si>
    <t>1.3</t>
  </si>
  <si>
    <t xml:space="preserve">Інші прямі витрати, у тому числі:        </t>
  </si>
  <si>
    <t>1.3.1</t>
  </si>
  <si>
    <t xml:space="preserve">відрахування на соціальні заходи         </t>
  </si>
  <si>
    <t>1.3.2</t>
  </si>
  <si>
    <t>амортизаційні відрахування</t>
  </si>
  <si>
    <t>1.3.3</t>
  </si>
  <si>
    <t>підкачка води стороннім організаціям</t>
  </si>
  <si>
    <t>1.3.4</t>
  </si>
  <si>
    <t>1.4</t>
  </si>
  <si>
    <t xml:space="preserve">Загальновиробничі витрати   у т.ч.             </t>
  </si>
  <si>
    <t>1.4.1</t>
  </si>
  <si>
    <t>витрати на оплату праці</t>
  </si>
  <si>
    <t>1.4.2</t>
  </si>
  <si>
    <t>1.4.3</t>
  </si>
  <si>
    <t>1.4.4</t>
  </si>
  <si>
    <t>інші витрати</t>
  </si>
  <si>
    <t>2</t>
  </si>
  <si>
    <t xml:space="preserve">Адміністративні витрати  у т.ч.                </t>
  </si>
  <si>
    <t>2.1</t>
  </si>
  <si>
    <t>2.2</t>
  </si>
  <si>
    <t>2.3</t>
  </si>
  <si>
    <t>2.4</t>
  </si>
  <si>
    <t>3</t>
  </si>
  <si>
    <t xml:space="preserve">Витрати на збут   у т.ч                       </t>
  </si>
  <si>
    <t>3.1</t>
  </si>
  <si>
    <t>3.2</t>
  </si>
  <si>
    <t>3.3</t>
  </si>
  <si>
    <t>3.4</t>
  </si>
  <si>
    <t>4.</t>
  </si>
  <si>
    <t>Інші операційні витрати</t>
  </si>
  <si>
    <t>5</t>
  </si>
  <si>
    <t>Фінансові витрати</t>
  </si>
  <si>
    <t>6</t>
  </si>
  <si>
    <t>Повна собівартість</t>
  </si>
  <si>
    <t>7</t>
  </si>
  <si>
    <t>Розрахунковий прибуток, у т.ч</t>
  </si>
  <si>
    <t>7.1</t>
  </si>
  <si>
    <t>податок на прибуток</t>
  </si>
  <si>
    <t>7.2</t>
  </si>
  <si>
    <t>дивіденди</t>
  </si>
  <si>
    <t>7.3</t>
  </si>
  <si>
    <t>резервний фонд</t>
  </si>
  <si>
    <t>7.4</t>
  </si>
  <si>
    <t>на розвиток виробництва</t>
  </si>
  <si>
    <t>7.5</t>
  </si>
  <si>
    <t>8</t>
  </si>
  <si>
    <t>9.</t>
  </si>
  <si>
    <t>10</t>
  </si>
  <si>
    <t>Обсяг реалізації тис.куб. м</t>
  </si>
  <si>
    <t>1.4.5</t>
  </si>
  <si>
    <t>витрати повязані зі сплатою податків, зборів та інших передбачених законодавством обовязкових платежів</t>
  </si>
  <si>
    <t>2.5</t>
  </si>
  <si>
    <t>11</t>
  </si>
  <si>
    <t>Тариф на централізоване водопостачання та водовідведення , грн/куб м</t>
  </si>
  <si>
    <t>Вартість централізованого водопостачання та водовідведення за відповідним тарифом</t>
  </si>
  <si>
    <t>Тариф на централізоване водопостачання та водовідведення, грн/куб м з ПДВ</t>
  </si>
  <si>
    <t>1.4.6.</t>
  </si>
  <si>
    <t>Паливно-мастильні матеріали</t>
  </si>
  <si>
    <t>Водопостачання , вартість, тис.грн, на 2021рік                                     Плановий тариф</t>
  </si>
  <si>
    <t>Водовідведення, вартість, тис.грн. на2021 рік                            Плановий тариф</t>
  </si>
  <si>
    <t>інші витрати, послуги банків  за прийлм платежів від населення</t>
  </si>
  <si>
    <t>6.1</t>
  </si>
  <si>
    <t>Обсяг реалізації послуг</t>
  </si>
  <si>
    <t>Собівартість 1 м3, грн.</t>
  </si>
  <si>
    <t>грн. в 1 куб м,</t>
  </si>
  <si>
    <t>грн. в 1 куб.м.</t>
  </si>
  <si>
    <t>інше використання прибутку</t>
  </si>
  <si>
    <t>інші прямі витрати   (діагностика, повірка витратомірів на дільницях   )</t>
  </si>
  <si>
    <t>Структура тарифу на послуги з централізованого водопостачання та централізованого водовідведення   по    КП "Глухівський водоканал" на плановий період 2021 року</t>
  </si>
  <si>
    <t>Адміністрація КП "Глухівський водоканал"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</si>
</sst>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%"/>
  </numFmts>
  <fonts count="17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left" wrapText="1"/>
    </xf>
    <xf numFmtId="164" fontId="2" fillId="2" borderId="3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left" wrapText="1"/>
    </xf>
    <xf numFmtId="164" fontId="3" fillId="2" borderId="3" xfId="0" applyNumberFormat="1" applyFont="1" applyFill="1" applyBorder="1" applyAlignment="1">
      <alignment horizontal="center" vertical="center"/>
    </xf>
    <xf numFmtId="0" fontId="0" fillId="2" borderId="0" xfId="0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2" fontId="1" fillId="2" borderId="0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Alignment="1">
      <alignment horizontal="left" wrapText="1"/>
    </xf>
    <xf numFmtId="2" fontId="6" fillId="2" borderId="0" xfId="0" applyNumberFormat="1" applyFont="1" applyFill="1"/>
    <xf numFmtId="2" fontId="0" fillId="0" borderId="0" xfId="0" applyNumberFormat="1"/>
    <xf numFmtId="2" fontId="3" fillId="2" borderId="0" xfId="0" applyNumberFormat="1" applyFont="1" applyFill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horizontal="left" vertical="top" wrapText="1"/>
    </xf>
    <xf numFmtId="0" fontId="4" fillId="2" borderId="0" xfId="0" applyFont="1" applyFill="1"/>
    <xf numFmtId="0" fontId="4" fillId="0" borderId="0" xfId="0" applyFont="1"/>
    <xf numFmtId="165" fontId="11" fillId="2" borderId="0" xfId="0" applyNumberFormat="1" applyFont="1" applyFill="1" applyAlignment="1">
      <alignment horizontal="center"/>
    </xf>
    <xf numFmtId="165" fontId="7" fillId="2" borderId="0" xfId="0" applyNumberFormat="1" applyFont="1" applyFill="1"/>
    <xf numFmtId="165" fontId="12" fillId="2" borderId="0" xfId="0" applyNumberFormat="1" applyFont="1" applyFill="1" applyAlignment="1">
      <alignment horizontal="center" vertical="center"/>
    </xf>
    <xf numFmtId="165" fontId="4" fillId="2" borderId="0" xfId="0" applyNumberFormat="1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wrapText="1"/>
    </xf>
    <xf numFmtId="0" fontId="2" fillId="2" borderId="3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164" fontId="2" fillId="2" borderId="3" xfId="0" applyNumberFormat="1" applyFont="1" applyFill="1" applyBorder="1" applyAlignment="1">
      <alignment horizontal="center" wrapText="1"/>
    </xf>
    <xf numFmtId="164" fontId="2" fillId="2" borderId="7" xfId="0" applyNumberFormat="1" applyFont="1" applyFill="1" applyBorder="1" applyAlignment="1">
      <alignment horizontal="center" wrapText="1"/>
    </xf>
    <xf numFmtId="164" fontId="4" fillId="2" borderId="3" xfId="0" applyNumberFormat="1" applyFont="1" applyFill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 wrapText="1"/>
    </xf>
    <xf numFmtId="164" fontId="3" fillId="2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164" fontId="14" fillId="2" borderId="3" xfId="0" applyNumberFormat="1" applyFont="1" applyFill="1" applyBorder="1" applyAlignment="1">
      <alignment horizontal="center" vertical="center"/>
    </xf>
    <xf numFmtId="164" fontId="14" fillId="2" borderId="2" xfId="0" applyNumberFormat="1" applyFont="1" applyFill="1" applyBorder="1" applyAlignment="1">
      <alignment horizontal="center" vertical="center"/>
    </xf>
    <xf numFmtId="164" fontId="13" fillId="2" borderId="3" xfId="0" applyNumberFormat="1" applyFont="1" applyFill="1" applyBorder="1" applyAlignment="1">
      <alignment horizontal="center" vertical="center" wrapText="1"/>
    </xf>
    <xf numFmtId="165" fontId="14" fillId="2" borderId="0" xfId="0" applyNumberFormat="1" applyFont="1" applyFill="1" applyAlignment="1">
      <alignment horizontal="center"/>
    </xf>
    <xf numFmtId="2" fontId="7" fillId="2" borderId="0" xfId="0" applyNumberFormat="1" applyFont="1" applyFill="1" applyAlignment="1">
      <alignment horizontal="left" wrapText="1"/>
    </xf>
    <xf numFmtId="2" fontId="0" fillId="2" borderId="0" xfId="0" applyNumberFormat="1" applyFont="1" applyFill="1"/>
    <xf numFmtId="2" fontId="0" fillId="0" borderId="0" xfId="0" applyNumberFormat="1" applyFont="1"/>
    <xf numFmtId="164" fontId="14" fillId="2" borderId="3" xfId="0" applyNumberFormat="1" applyFont="1" applyFill="1" applyBorder="1" applyAlignment="1">
      <alignment horizontal="center" vertical="center" wrapText="1"/>
    </xf>
    <xf numFmtId="2" fontId="14" fillId="2" borderId="0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64" fontId="14" fillId="2" borderId="7" xfId="0" applyNumberFormat="1" applyFont="1" applyFill="1" applyBorder="1" applyAlignment="1">
      <alignment horizontal="center" wrapText="1"/>
    </xf>
    <xf numFmtId="164" fontId="14" fillId="2" borderId="3" xfId="0" applyNumberFormat="1" applyFont="1" applyFill="1" applyBorder="1" applyAlignment="1">
      <alignment horizontal="center" wrapText="1"/>
    </xf>
    <xf numFmtId="164" fontId="14" fillId="2" borderId="4" xfId="0" applyNumberFormat="1" applyFont="1" applyFill="1" applyBorder="1" applyAlignment="1">
      <alignment horizontal="center" vertical="center"/>
    </xf>
    <xf numFmtId="164" fontId="15" fillId="0" borderId="0" xfId="0" applyNumberFormat="1" applyFont="1"/>
    <xf numFmtId="164" fontId="16" fillId="0" borderId="3" xfId="0" applyNumberFormat="1" applyFont="1" applyBorder="1" applyAlignment="1">
      <alignment horizontal="center" wrapText="1"/>
    </xf>
    <xf numFmtId="164" fontId="15" fillId="0" borderId="3" xfId="0" applyNumberFormat="1" applyFont="1" applyBorder="1"/>
    <xf numFmtId="164" fontId="16" fillId="0" borderId="3" xfId="0" applyNumberFormat="1" applyFont="1" applyBorder="1" applyAlignment="1">
      <alignment horizontal="center"/>
    </xf>
    <xf numFmtId="164" fontId="15" fillId="0" borderId="3" xfId="0" applyNumberFormat="1" applyFont="1" applyBorder="1" applyAlignment="1">
      <alignment horizontal="center"/>
    </xf>
    <xf numFmtId="2" fontId="2" fillId="2" borderId="3" xfId="0" applyNumberFormat="1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/>
    </xf>
    <xf numFmtId="164" fontId="14" fillId="3" borderId="3" xfId="0" applyNumberFormat="1" applyFont="1" applyFill="1" applyBorder="1" applyAlignment="1">
      <alignment horizontal="center" vertical="center" wrapText="1"/>
    </xf>
    <xf numFmtId="2" fontId="9" fillId="2" borderId="3" xfId="0" applyNumberFormat="1" applyFont="1" applyFill="1" applyBorder="1" applyAlignment="1">
      <alignment horizontal="center" vertical="center"/>
    </xf>
    <xf numFmtId="2" fontId="14" fillId="2" borderId="3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top" wrapText="1"/>
    </xf>
    <xf numFmtId="164" fontId="15" fillId="0" borderId="2" xfId="0" applyNumberFormat="1" applyFont="1" applyBorder="1" applyAlignment="1">
      <alignment horizontal="center"/>
    </xf>
    <xf numFmtId="164" fontId="15" fillId="0" borderId="4" xfId="0" applyNumberFormat="1" applyFont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top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/>
    </xf>
    <xf numFmtId="164" fontId="9" fillId="2" borderId="4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0"/>
  <sheetViews>
    <sheetView tabSelected="1" showWhiteSpace="0" view="pageLayout" topLeftCell="A61" workbookViewId="0">
      <selection activeCell="B66" sqref="B66"/>
    </sheetView>
  </sheetViews>
  <sheetFormatPr defaultRowHeight="15.75"/>
  <cols>
    <col min="1" max="1" width="4.85546875" customWidth="1"/>
    <col min="2" max="2" width="48.85546875" customWidth="1"/>
    <col min="3" max="3" width="20.85546875" style="18" customWidth="1"/>
    <col min="4" max="4" width="7.28515625" style="47" customWidth="1"/>
    <col min="5" max="5" width="19.85546875" style="20" customWidth="1"/>
    <col min="6" max="6" width="7.5703125" style="54" customWidth="1"/>
  </cols>
  <sheetData>
    <row r="1" spans="1:6" ht="55.5" customHeight="1">
      <c r="A1" s="67" t="s">
        <v>84</v>
      </c>
      <c r="B1" s="67"/>
      <c r="C1" s="67"/>
      <c r="D1" s="67"/>
      <c r="E1" s="67"/>
    </row>
    <row r="2" spans="1:6" ht="21.75" hidden="1" customHeight="1">
      <c r="A2" s="28"/>
      <c r="B2" s="28"/>
      <c r="C2" s="14"/>
      <c r="D2" s="49"/>
      <c r="E2" s="19"/>
    </row>
    <row r="3" spans="1:6" ht="21" hidden="1" customHeight="1">
      <c r="A3" s="28"/>
      <c r="B3" s="1"/>
      <c r="C3" s="15"/>
      <c r="D3" s="49"/>
      <c r="E3" s="19"/>
    </row>
    <row r="4" spans="1:6" ht="91.5" customHeight="1">
      <c r="A4" s="68" t="s">
        <v>0</v>
      </c>
      <c r="B4" s="70" t="s">
        <v>1</v>
      </c>
      <c r="C4" s="71" t="s">
        <v>74</v>
      </c>
      <c r="D4" s="40" t="s">
        <v>80</v>
      </c>
      <c r="E4" s="74" t="s">
        <v>75</v>
      </c>
      <c r="F4" s="55" t="s">
        <v>81</v>
      </c>
    </row>
    <row r="5" spans="1:6" ht="3" hidden="1" customHeight="1">
      <c r="A5" s="69"/>
      <c r="B5" s="70"/>
      <c r="C5" s="72"/>
      <c r="D5" s="50"/>
      <c r="E5" s="75"/>
      <c r="F5" s="56"/>
    </row>
    <row r="6" spans="1:6" ht="19.5" customHeight="1">
      <c r="A6" s="2" t="s">
        <v>2</v>
      </c>
      <c r="B6" s="3" t="s">
        <v>3</v>
      </c>
      <c r="C6" s="4">
        <f>C7+C12+C13+C18</f>
        <v>9978.6071599999996</v>
      </c>
      <c r="D6" s="43">
        <f>C6/C65</f>
        <v>10.565589023806599</v>
      </c>
      <c r="E6" s="4">
        <f>E7+E12+E13+E18</f>
        <v>11228.652515000002</v>
      </c>
      <c r="F6" s="57">
        <f>E6/469.92</f>
        <v>23.894817234848489</v>
      </c>
    </row>
    <row r="7" spans="1:6" ht="36" customHeight="1">
      <c r="A7" s="5" t="s">
        <v>4</v>
      </c>
      <c r="B7" s="6" t="s">
        <v>5</v>
      </c>
      <c r="C7" s="7">
        <f>C8+C9+C10+C11</f>
        <v>3263.75</v>
      </c>
      <c r="D7" s="43">
        <f>C7/944.44</f>
        <v>3.4557515564779124</v>
      </c>
      <c r="E7" s="7">
        <f>E8+E9+E10+E11</f>
        <v>1534.8229999999999</v>
      </c>
      <c r="F7" s="57">
        <f t="shared" ref="F7:F38" si="0">E7/469.92</f>
        <v>3.2661367892407216</v>
      </c>
    </row>
    <row r="8" spans="1:6" ht="16.5" customHeight="1">
      <c r="A8" s="8" t="s">
        <v>6</v>
      </c>
      <c r="B8" s="9" t="s">
        <v>7</v>
      </c>
      <c r="C8" s="10">
        <v>3181.7080000000001</v>
      </c>
      <c r="D8" s="48">
        <f t="shared" ref="D8:D10" si="1">C8/944.44</f>
        <v>3.3688831476854006</v>
      </c>
      <c r="E8" s="10">
        <v>1435.4359999999999</v>
      </c>
      <c r="F8" s="58">
        <f t="shared" si="0"/>
        <v>3.0546390875042557</v>
      </c>
    </row>
    <row r="9" spans="1:6" ht="15.75" customHeight="1">
      <c r="A9" s="8" t="s">
        <v>8</v>
      </c>
      <c r="B9" s="9" t="s">
        <v>9</v>
      </c>
      <c r="C9" s="10">
        <v>0</v>
      </c>
      <c r="D9" s="48">
        <f t="shared" si="1"/>
        <v>0</v>
      </c>
      <c r="E9" s="10">
        <v>0</v>
      </c>
      <c r="F9" s="58">
        <f t="shared" si="0"/>
        <v>0</v>
      </c>
    </row>
    <row r="10" spans="1:6" ht="17.25" customHeight="1">
      <c r="A10" s="8" t="s">
        <v>10</v>
      </c>
      <c r="B10" s="9" t="s">
        <v>11</v>
      </c>
      <c r="C10" s="10">
        <v>0</v>
      </c>
      <c r="D10" s="48">
        <f t="shared" si="1"/>
        <v>0</v>
      </c>
      <c r="E10" s="10">
        <v>0</v>
      </c>
      <c r="F10" s="58">
        <f t="shared" si="0"/>
        <v>0</v>
      </c>
    </row>
    <row r="11" spans="1:6" ht="31.5" customHeight="1">
      <c r="A11" s="8" t="s">
        <v>10</v>
      </c>
      <c r="B11" s="9" t="s">
        <v>12</v>
      </c>
      <c r="C11" s="10">
        <v>82.042000000000002</v>
      </c>
      <c r="D11" s="48">
        <f t="shared" ref="D11:D38" si="2">C11/944.44</f>
        <v>8.6868408792511967E-2</v>
      </c>
      <c r="E11" s="10">
        <v>99.387</v>
      </c>
      <c r="F11" s="58">
        <f t="shared" si="0"/>
        <v>0.21149770173646579</v>
      </c>
    </row>
    <row r="12" spans="1:6" ht="18.75" customHeight="1">
      <c r="A12" s="5" t="s">
        <v>13</v>
      </c>
      <c r="B12" s="6" t="s">
        <v>14</v>
      </c>
      <c r="C12" s="7">
        <v>2668.11</v>
      </c>
      <c r="D12" s="43">
        <f t="shared" si="2"/>
        <v>2.825070941510313</v>
      </c>
      <c r="E12" s="7">
        <v>5004.6487500000003</v>
      </c>
      <c r="F12" s="57">
        <f t="shared" si="0"/>
        <v>10.650001596016343</v>
      </c>
    </row>
    <row r="13" spans="1:6" ht="18" customHeight="1">
      <c r="A13" s="5" t="s">
        <v>15</v>
      </c>
      <c r="B13" s="6" t="s">
        <v>16</v>
      </c>
      <c r="C13" s="7">
        <f>SUM(C14:C17)</f>
        <v>765.35720000000003</v>
      </c>
      <c r="D13" s="43">
        <f t="shared" si="2"/>
        <v>0.81038202532717796</v>
      </c>
      <c r="E13" s="7">
        <f>SUM(E14:E17)</f>
        <v>1546.0987250000001</v>
      </c>
      <c r="F13" s="57">
        <f t="shared" si="0"/>
        <v>3.2901317777494041</v>
      </c>
    </row>
    <row r="14" spans="1:6" ht="18.75" customHeight="1">
      <c r="A14" s="8" t="s">
        <v>17</v>
      </c>
      <c r="B14" s="9" t="s">
        <v>18</v>
      </c>
      <c r="C14" s="10">
        <f>C12*22%</f>
        <v>586.98419999999999</v>
      </c>
      <c r="D14" s="48">
        <f t="shared" si="2"/>
        <v>0.62151560713226883</v>
      </c>
      <c r="E14" s="10">
        <f>E12*22%</f>
        <v>1101.022725</v>
      </c>
      <c r="F14" s="58">
        <f t="shared" si="0"/>
        <v>2.3430003511235955</v>
      </c>
    </row>
    <row r="15" spans="1:6" ht="17.25" customHeight="1">
      <c r="A15" s="8" t="s">
        <v>19</v>
      </c>
      <c r="B15" s="9" t="s">
        <v>20</v>
      </c>
      <c r="C15" s="10">
        <v>175.62799999999999</v>
      </c>
      <c r="D15" s="48">
        <f t="shared" si="2"/>
        <v>0.18595993392910082</v>
      </c>
      <c r="E15" s="10">
        <v>439.78699999999998</v>
      </c>
      <c r="F15" s="58">
        <f t="shared" si="0"/>
        <v>0.93587631937351035</v>
      </c>
    </row>
    <row r="16" spans="1:6" ht="17.25" customHeight="1">
      <c r="A16" s="8" t="s">
        <v>21</v>
      </c>
      <c r="B16" s="9" t="s">
        <v>22</v>
      </c>
      <c r="C16" s="10">
        <v>0</v>
      </c>
      <c r="D16" s="48">
        <f t="shared" si="2"/>
        <v>0</v>
      </c>
      <c r="E16" s="10">
        <v>0</v>
      </c>
      <c r="F16" s="58">
        <f t="shared" si="0"/>
        <v>0</v>
      </c>
    </row>
    <row r="17" spans="1:6" ht="15" customHeight="1">
      <c r="A17" s="8" t="s">
        <v>23</v>
      </c>
      <c r="B17" s="9" t="s">
        <v>83</v>
      </c>
      <c r="C17" s="10">
        <v>2.7450000000000001</v>
      </c>
      <c r="D17" s="48">
        <f t="shared" si="2"/>
        <v>2.9064842658083098E-3</v>
      </c>
      <c r="E17" s="10">
        <v>5.2889999999999997</v>
      </c>
      <c r="F17" s="58">
        <f t="shared" si="0"/>
        <v>1.1255107252298262E-2</v>
      </c>
    </row>
    <row r="18" spans="1:6" ht="14.25" customHeight="1">
      <c r="A18" s="5" t="s">
        <v>24</v>
      </c>
      <c r="B18" s="6" t="s">
        <v>25</v>
      </c>
      <c r="C18" s="7">
        <f>SUM(C19:C24)</f>
        <v>3281.3899599999995</v>
      </c>
      <c r="D18" s="43">
        <f t="shared" si="2"/>
        <v>3.4744292490788187</v>
      </c>
      <c r="E18" s="7">
        <f>SUM(E19:E24)</f>
        <v>3143.0820400000002</v>
      </c>
      <c r="F18" s="57">
        <f t="shared" si="0"/>
        <v>6.6885470718420157</v>
      </c>
    </row>
    <row r="19" spans="1:6" ht="15.75" customHeight="1">
      <c r="A19" s="8" t="s">
        <v>26</v>
      </c>
      <c r="B19" s="9" t="s">
        <v>27</v>
      </c>
      <c r="C19" s="10">
        <v>1572.018</v>
      </c>
      <c r="D19" s="48">
        <f t="shared" si="2"/>
        <v>1.6644974799881411</v>
      </c>
      <c r="E19" s="10">
        <v>1856.5319999999999</v>
      </c>
      <c r="F19" s="58">
        <f t="shared" si="0"/>
        <v>3.9507405515832481</v>
      </c>
    </row>
    <row r="20" spans="1:6" ht="16.5" customHeight="1">
      <c r="A20" s="8" t="s">
        <v>28</v>
      </c>
      <c r="B20" s="9" t="s">
        <v>18</v>
      </c>
      <c r="C20" s="10">
        <f>C19*22%</f>
        <v>345.84395999999998</v>
      </c>
      <c r="D20" s="48">
        <f t="shared" si="2"/>
        <v>0.36618944559739103</v>
      </c>
      <c r="E20" s="10">
        <f>E19*22%</f>
        <v>408.43703999999997</v>
      </c>
      <c r="F20" s="58">
        <f t="shared" si="0"/>
        <v>0.86916292134831452</v>
      </c>
    </row>
    <row r="21" spans="1:6" ht="16.5" customHeight="1">
      <c r="A21" s="8" t="s">
        <v>29</v>
      </c>
      <c r="B21" s="9" t="s">
        <v>20</v>
      </c>
      <c r="C21" s="10">
        <v>163.69900000000001</v>
      </c>
      <c r="D21" s="48">
        <f t="shared" si="2"/>
        <v>0.17332916860785227</v>
      </c>
      <c r="E21" s="10">
        <v>197.63499999999999</v>
      </c>
      <c r="F21" s="58">
        <f t="shared" si="0"/>
        <v>0.42057158665304728</v>
      </c>
    </row>
    <row r="22" spans="1:6" ht="29.25" customHeight="1">
      <c r="A22" s="8" t="s">
        <v>30</v>
      </c>
      <c r="B22" s="9" t="s">
        <v>66</v>
      </c>
      <c r="C22" s="10">
        <f>597.175+59.677</f>
        <v>656.85199999999998</v>
      </c>
      <c r="D22" s="48">
        <f t="shared" si="2"/>
        <v>0.69549362585235686</v>
      </c>
      <c r="E22" s="10">
        <f>15.694+72.047</f>
        <v>87.741</v>
      </c>
      <c r="F22" s="58">
        <f t="shared" si="0"/>
        <v>0.18671475995914197</v>
      </c>
    </row>
    <row r="23" spans="1:6" ht="15" customHeight="1">
      <c r="A23" s="8" t="s">
        <v>65</v>
      </c>
      <c r="B23" s="9" t="s">
        <v>31</v>
      </c>
      <c r="C23" s="10">
        <v>196.477</v>
      </c>
      <c r="D23" s="48">
        <f t="shared" si="2"/>
        <v>0.20803544957858625</v>
      </c>
      <c r="E23" s="10">
        <v>174.40700000000001</v>
      </c>
      <c r="F23" s="58">
        <f t="shared" si="0"/>
        <v>0.3711418964930201</v>
      </c>
    </row>
    <row r="24" spans="1:6" ht="15" customHeight="1">
      <c r="A24" s="8" t="s">
        <v>72</v>
      </c>
      <c r="B24" s="9" t="s">
        <v>73</v>
      </c>
      <c r="C24" s="10">
        <v>346.5</v>
      </c>
      <c r="D24" s="48">
        <f t="shared" si="2"/>
        <v>0.36688407945449153</v>
      </c>
      <c r="E24" s="10">
        <v>418.33</v>
      </c>
      <c r="F24" s="58">
        <f t="shared" si="0"/>
        <v>0.89021535580524336</v>
      </c>
    </row>
    <row r="25" spans="1:6" ht="15" customHeight="1">
      <c r="A25" s="5" t="s">
        <v>32</v>
      </c>
      <c r="B25" s="6" t="s">
        <v>33</v>
      </c>
      <c r="C25" s="7">
        <f>C30+C29+C28+C27+C26</f>
        <v>1271.1554999999998</v>
      </c>
      <c r="D25" s="43">
        <f t="shared" si="2"/>
        <v>1.3459356867561727</v>
      </c>
      <c r="E25" s="7">
        <f>SUM(E26:E30)</f>
        <v>1430.3846800000001</v>
      </c>
      <c r="F25" s="57">
        <f t="shared" si="0"/>
        <v>3.0438897684712294</v>
      </c>
    </row>
    <row r="26" spans="1:6" ht="18" customHeight="1">
      <c r="A26" s="8" t="s">
        <v>34</v>
      </c>
      <c r="B26" s="9" t="s">
        <v>27</v>
      </c>
      <c r="C26" s="10">
        <v>941.375</v>
      </c>
      <c r="D26" s="48">
        <f t="shared" si="2"/>
        <v>0.99675469061030875</v>
      </c>
      <c r="E26" s="10">
        <v>1059.2940000000001</v>
      </c>
      <c r="F26" s="58">
        <f t="shared" si="0"/>
        <v>2.254200715015322</v>
      </c>
    </row>
    <row r="27" spans="1:6" ht="15.75" customHeight="1">
      <c r="A27" s="8" t="s">
        <v>35</v>
      </c>
      <c r="B27" s="9" t="s">
        <v>18</v>
      </c>
      <c r="C27" s="10">
        <f>C26*22%</f>
        <v>207.10249999999999</v>
      </c>
      <c r="D27" s="48">
        <f t="shared" si="2"/>
        <v>0.21928603193426791</v>
      </c>
      <c r="E27" s="10">
        <f>E26*22%</f>
        <v>233.04468000000003</v>
      </c>
      <c r="F27" s="58">
        <f t="shared" si="0"/>
        <v>0.49592415730337081</v>
      </c>
    </row>
    <row r="28" spans="1:6" ht="15.75" customHeight="1">
      <c r="A28" s="8" t="s">
        <v>36</v>
      </c>
      <c r="B28" s="9" t="s">
        <v>20</v>
      </c>
      <c r="C28" s="10">
        <v>18.579999999999998</v>
      </c>
      <c r="D28" s="48">
        <f t="shared" si="2"/>
        <v>1.9673033755452964E-2</v>
      </c>
      <c r="E28" s="10">
        <v>20.907</v>
      </c>
      <c r="F28" s="58">
        <f t="shared" si="0"/>
        <v>4.449055158324821E-2</v>
      </c>
    </row>
    <row r="29" spans="1:6" ht="31.5" customHeight="1">
      <c r="A29" s="8" t="s">
        <v>37</v>
      </c>
      <c r="B29" s="9" t="str">
        <f>B22</f>
        <v>витрати повязані зі сплатою податків, зборів та інших передбачених законодавством обовязкових платежів</v>
      </c>
      <c r="C29" s="10">
        <v>3.3650000000000002</v>
      </c>
      <c r="D29" s="48">
        <f t="shared" si="2"/>
        <v>3.5629579433314983E-3</v>
      </c>
      <c r="E29" s="10">
        <v>3.786</v>
      </c>
      <c r="F29" s="58">
        <f t="shared" si="0"/>
        <v>8.0566905005107249E-3</v>
      </c>
    </row>
    <row r="30" spans="1:6" ht="15.75" customHeight="1">
      <c r="A30" s="8" t="s">
        <v>67</v>
      </c>
      <c r="B30" s="9" t="s">
        <v>31</v>
      </c>
      <c r="C30" s="10">
        <f>101.38-0.647</f>
        <v>100.73299999999999</v>
      </c>
      <c r="D30" s="48">
        <f t="shared" si="2"/>
        <v>0.10665897251281181</v>
      </c>
      <c r="E30" s="10">
        <f>112.706+0.647</f>
        <v>113.35300000000001</v>
      </c>
      <c r="F30" s="58">
        <f t="shared" si="0"/>
        <v>0.24121765406877768</v>
      </c>
    </row>
    <row r="31" spans="1:6" ht="13.5" customHeight="1">
      <c r="A31" s="5" t="s">
        <v>38</v>
      </c>
      <c r="B31" s="6" t="s">
        <v>39</v>
      </c>
      <c r="C31" s="7">
        <f>SUM(C32:C35)</f>
        <v>108.849</v>
      </c>
      <c r="D31" s="43">
        <f t="shared" si="2"/>
        <v>0.11525242471729279</v>
      </c>
      <c r="E31" s="7">
        <f>SUM(E32:E35)</f>
        <v>118.72799999999999</v>
      </c>
      <c r="F31" s="57">
        <f t="shared" si="0"/>
        <v>0.25265577119509702</v>
      </c>
    </row>
    <row r="32" spans="1:6" ht="14.25" customHeight="1">
      <c r="A32" s="8" t="s">
        <v>40</v>
      </c>
      <c r="B32" s="9" t="s">
        <v>27</v>
      </c>
      <c r="C32" s="10">
        <v>0</v>
      </c>
      <c r="D32" s="48">
        <f t="shared" si="2"/>
        <v>0</v>
      </c>
      <c r="E32" s="10">
        <v>0</v>
      </c>
      <c r="F32" s="58">
        <f t="shared" si="0"/>
        <v>0</v>
      </c>
    </row>
    <row r="33" spans="1:6" ht="15.75" customHeight="1">
      <c r="A33" s="8" t="s">
        <v>41</v>
      </c>
      <c r="B33" s="9" t="s">
        <v>18</v>
      </c>
      <c r="C33" s="10">
        <v>0</v>
      </c>
      <c r="D33" s="48">
        <f t="shared" si="2"/>
        <v>0</v>
      </c>
      <c r="E33" s="10">
        <v>0</v>
      </c>
      <c r="F33" s="58">
        <f t="shared" si="0"/>
        <v>0</v>
      </c>
    </row>
    <row r="34" spans="1:6" ht="15" customHeight="1">
      <c r="A34" s="8" t="s">
        <v>42</v>
      </c>
      <c r="B34" s="9" t="s">
        <v>20</v>
      </c>
      <c r="C34" s="10">
        <v>0</v>
      </c>
      <c r="D34" s="48">
        <f t="shared" si="2"/>
        <v>0</v>
      </c>
      <c r="E34" s="10">
        <v>0</v>
      </c>
      <c r="F34" s="58">
        <f t="shared" si="0"/>
        <v>0</v>
      </c>
    </row>
    <row r="35" spans="1:6" ht="15.75" customHeight="1">
      <c r="A35" s="8" t="s">
        <v>43</v>
      </c>
      <c r="B35" s="9" t="s">
        <v>76</v>
      </c>
      <c r="C35" s="60">
        <v>108.849</v>
      </c>
      <c r="D35" s="61">
        <f t="shared" si="2"/>
        <v>0.11525242471729279</v>
      </c>
      <c r="E35" s="60">
        <v>118.72799999999999</v>
      </c>
      <c r="F35" s="58">
        <f t="shared" si="0"/>
        <v>0.25265577119509702</v>
      </c>
    </row>
    <row r="36" spans="1:6" ht="15" customHeight="1">
      <c r="A36" s="5" t="s">
        <v>44</v>
      </c>
      <c r="B36" s="6" t="s">
        <v>45</v>
      </c>
      <c r="C36" s="7">
        <v>0</v>
      </c>
      <c r="D36" s="48">
        <f t="shared" si="2"/>
        <v>0</v>
      </c>
      <c r="E36" s="7">
        <v>0</v>
      </c>
      <c r="F36" s="58">
        <f t="shared" si="0"/>
        <v>0</v>
      </c>
    </row>
    <row r="37" spans="1:6" ht="15" customHeight="1">
      <c r="A37" s="5" t="s">
        <v>46</v>
      </c>
      <c r="B37" s="6" t="s">
        <v>47</v>
      </c>
      <c r="C37" s="7">
        <v>0</v>
      </c>
      <c r="D37" s="48">
        <f t="shared" si="2"/>
        <v>0</v>
      </c>
      <c r="E37" s="7">
        <v>0</v>
      </c>
      <c r="F37" s="58">
        <f t="shared" si="0"/>
        <v>0</v>
      </c>
    </row>
    <row r="38" spans="1:6" ht="18.75" customHeight="1">
      <c r="A38" s="5" t="s">
        <v>48</v>
      </c>
      <c r="B38" s="6" t="s">
        <v>49</v>
      </c>
      <c r="C38" s="7">
        <f>SUM(C31+C25+C18+C13+C12+C7)</f>
        <v>11358.61166</v>
      </c>
      <c r="D38" s="48">
        <f t="shared" si="2"/>
        <v>12.026821883867688</v>
      </c>
      <c r="E38" s="7">
        <f>SUM(E31+E25+E18+E13+E12+E7)</f>
        <v>12777.765195</v>
      </c>
      <c r="F38" s="57">
        <f t="shared" si="0"/>
        <v>27.191362774514811</v>
      </c>
    </row>
    <row r="39" spans="1:6" ht="18.75" customHeight="1">
      <c r="A39" s="5" t="s">
        <v>77</v>
      </c>
      <c r="B39" s="6" t="s">
        <v>79</v>
      </c>
      <c r="C39" s="7">
        <f>C38/C40</f>
        <v>12.026770946715741</v>
      </c>
      <c r="D39" s="48"/>
      <c r="E39" s="7">
        <f>E38/E40</f>
        <v>27.19124704738233</v>
      </c>
      <c r="F39" s="56"/>
    </row>
    <row r="40" spans="1:6" ht="18.75" customHeight="1">
      <c r="A40" s="5"/>
      <c r="B40" s="6" t="s">
        <v>78</v>
      </c>
      <c r="C40" s="7">
        <v>944.44399999999996</v>
      </c>
      <c r="D40" s="48"/>
      <c r="E40" s="7">
        <v>469.92200000000003</v>
      </c>
      <c r="F40" s="56"/>
    </row>
    <row r="41" spans="1:6" ht="0.75" customHeight="1">
      <c r="A41" s="5"/>
      <c r="B41" s="84"/>
      <c r="C41" s="85"/>
      <c r="D41" s="85"/>
      <c r="E41" s="86"/>
      <c r="F41" s="56"/>
    </row>
    <row r="42" spans="1:6" ht="27.75" hidden="1" customHeight="1">
      <c r="A42" s="5"/>
      <c r="B42" s="31"/>
      <c r="C42" s="32"/>
      <c r="D42" s="51"/>
      <c r="E42" s="33"/>
      <c r="F42" s="56"/>
    </row>
    <row r="43" spans="1:6" ht="18.75" hidden="1" customHeight="1">
      <c r="A43" s="5"/>
      <c r="B43" s="31"/>
      <c r="C43" s="32"/>
      <c r="D43" s="51"/>
      <c r="E43" s="33"/>
      <c r="F43" s="56"/>
    </row>
    <row r="44" spans="1:6" ht="37.5" hidden="1" customHeight="1">
      <c r="A44" s="5"/>
      <c r="B44" s="3"/>
      <c r="C44" s="32"/>
      <c r="D44" s="52"/>
      <c r="E44" s="32"/>
      <c r="F44" s="56"/>
    </row>
    <row r="45" spans="1:6" ht="18.75" hidden="1" customHeight="1">
      <c r="A45" s="5"/>
      <c r="B45" s="30"/>
      <c r="C45" s="32"/>
      <c r="D45" s="52"/>
      <c r="E45" s="32"/>
      <c r="F45" s="56"/>
    </row>
    <row r="46" spans="1:6" ht="18.75" hidden="1" customHeight="1">
      <c r="A46" s="5"/>
      <c r="B46" s="30"/>
      <c r="C46" s="32"/>
      <c r="D46" s="52"/>
      <c r="E46" s="32"/>
      <c r="F46" s="56"/>
    </row>
    <row r="47" spans="1:6" ht="18.75" hidden="1" customHeight="1">
      <c r="A47" s="5"/>
      <c r="B47" s="30"/>
      <c r="C47" s="32"/>
      <c r="D47" s="52"/>
      <c r="E47" s="32"/>
      <c r="F47" s="56"/>
    </row>
    <row r="48" spans="1:6" ht="18.75" hidden="1" customHeight="1">
      <c r="A48" s="5"/>
      <c r="B48" s="30"/>
      <c r="C48" s="32"/>
      <c r="D48" s="52"/>
      <c r="E48" s="32"/>
      <c r="F48" s="56"/>
    </row>
    <row r="49" spans="1:6" ht="18.75" hidden="1" customHeight="1">
      <c r="A49" s="5"/>
      <c r="B49" s="30"/>
      <c r="C49" s="32"/>
      <c r="D49" s="52"/>
      <c r="E49" s="32"/>
      <c r="F49" s="56"/>
    </row>
    <row r="50" spans="1:6" ht="18.75" hidden="1" customHeight="1">
      <c r="A50" s="5"/>
      <c r="B50" s="30"/>
      <c r="C50" s="32"/>
      <c r="D50" s="52"/>
      <c r="E50" s="32"/>
      <c r="F50" s="56"/>
    </row>
    <row r="51" spans="1:6" ht="18.75" hidden="1" customHeight="1">
      <c r="A51" s="5"/>
      <c r="B51" s="30"/>
      <c r="C51" s="32"/>
      <c r="D51" s="52"/>
      <c r="E51" s="32"/>
      <c r="F51" s="56"/>
    </row>
    <row r="52" spans="1:6" ht="18.75" hidden="1" customHeight="1">
      <c r="A52" s="5"/>
      <c r="B52" s="30"/>
      <c r="C52" s="32"/>
      <c r="D52" s="52"/>
      <c r="E52" s="32"/>
      <c r="F52" s="56"/>
    </row>
    <row r="53" spans="1:6" ht="18.75" hidden="1" customHeight="1">
      <c r="A53" s="5"/>
      <c r="B53" s="30"/>
      <c r="C53" s="32"/>
      <c r="D53" s="52"/>
      <c r="E53" s="32"/>
      <c r="F53" s="56"/>
    </row>
    <row r="54" spans="1:6" ht="18" customHeight="1">
      <c r="A54" s="5" t="s">
        <v>50</v>
      </c>
      <c r="B54" s="6" t="s">
        <v>51</v>
      </c>
      <c r="C54" s="7">
        <f>C38*2%</f>
        <v>227.17223320000002</v>
      </c>
      <c r="D54" s="41"/>
      <c r="E54" s="7">
        <f>E38*2%</f>
        <v>255.55530390000001</v>
      </c>
      <c r="F54" s="56"/>
    </row>
    <row r="55" spans="1:6" ht="17.25" customHeight="1">
      <c r="A55" s="8" t="s">
        <v>52</v>
      </c>
      <c r="B55" s="9" t="s">
        <v>53</v>
      </c>
      <c r="C55" s="10">
        <f>C54*18%</f>
        <v>40.891001976000005</v>
      </c>
      <c r="D55" s="41"/>
      <c r="E55" s="34">
        <f>E54*18%</f>
        <v>45.999954702000004</v>
      </c>
      <c r="F55" s="56"/>
    </row>
    <row r="56" spans="1:6" ht="14.25" customHeight="1">
      <c r="A56" s="8" t="s">
        <v>54</v>
      </c>
      <c r="B56" s="9" t="s">
        <v>55</v>
      </c>
      <c r="C56" s="10">
        <f>C55*5%</f>
        <v>2.0445500988000003</v>
      </c>
      <c r="D56" s="41"/>
      <c r="E56" s="34">
        <f>E55*5%</f>
        <v>2.2999977351000003</v>
      </c>
      <c r="F56" s="56"/>
    </row>
    <row r="57" spans="1:6" ht="13.5" customHeight="1">
      <c r="A57" s="8" t="s">
        <v>56</v>
      </c>
      <c r="B57" s="9" t="s">
        <v>57</v>
      </c>
      <c r="C57" s="10">
        <v>0</v>
      </c>
      <c r="D57" s="41"/>
      <c r="E57" s="34">
        <v>0</v>
      </c>
      <c r="F57" s="56"/>
    </row>
    <row r="58" spans="1:6" ht="15.75" customHeight="1">
      <c r="A58" s="8" t="s">
        <v>58</v>
      </c>
      <c r="B58" s="9" t="s">
        <v>59</v>
      </c>
      <c r="C58" s="10">
        <v>0</v>
      </c>
      <c r="D58" s="41"/>
      <c r="E58" s="34">
        <v>0</v>
      </c>
      <c r="F58" s="56"/>
    </row>
    <row r="59" spans="1:6" ht="19.5" customHeight="1">
      <c r="A59" s="8" t="s">
        <v>60</v>
      </c>
      <c r="B59" s="9" t="s">
        <v>82</v>
      </c>
      <c r="C59" s="10">
        <f>C54-C55</f>
        <v>186.28123122400001</v>
      </c>
      <c r="D59" s="41"/>
      <c r="E59" s="34">
        <f>E54-E55</f>
        <v>209.55534919800002</v>
      </c>
      <c r="F59" s="56"/>
    </row>
    <row r="60" spans="1:6" ht="31.5" hidden="1" customHeight="1">
      <c r="A60" s="36"/>
      <c r="B60" s="37"/>
      <c r="C60" s="38"/>
      <c r="D60" s="42"/>
      <c r="E60" s="39"/>
      <c r="F60" s="56"/>
    </row>
    <row r="61" spans="1:6" ht="15" customHeight="1">
      <c r="A61" s="76" t="s">
        <v>61</v>
      </c>
      <c r="B61" s="78" t="s">
        <v>70</v>
      </c>
      <c r="C61" s="80">
        <f>C38+C54</f>
        <v>11585.783893200001</v>
      </c>
      <c r="D61" s="42"/>
      <c r="E61" s="82">
        <f>E38+E54</f>
        <v>13033.320498900001</v>
      </c>
      <c r="F61" s="65"/>
    </row>
    <row r="62" spans="1:6" ht="22.5" customHeight="1">
      <c r="A62" s="77"/>
      <c r="B62" s="79"/>
      <c r="C62" s="81"/>
      <c r="D62" s="53"/>
      <c r="E62" s="83"/>
      <c r="F62" s="66"/>
    </row>
    <row r="63" spans="1:6" ht="36" customHeight="1">
      <c r="A63" s="5" t="s">
        <v>62</v>
      </c>
      <c r="B63" s="3" t="s">
        <v>69</v>
      </c>
      <c r="C63" s="59">
        <f>C61/C65</f>
        <v>12.267306365650056</v>
      </c>
      <c r="D63" s="48"/>
      <c r="E63" s="62">
        <f>E61/E65-0.01</f>
        <v>27.725071988329976</v>
      </c>
      <c r="F63" s="56"/>
    </row>
    <row r="64" spans="1:6" ht="30" customHeight="1">
      <c r="A64" s="5" t="s">
        <v>63</v>
      </c>
      <c r="B64" s="6" t="s">
        <v>71</v>
      </c>
      <c r="C64" s="59">
        <f>C63*1.2</f>
        <v>14.720767638780066</v>
      </c>
      <c r="D64" s="63"/>
      <c r="E64" s="62">
        <f>E63*1.2+0.01</f>
        <v>33.280086385995965</v>
      </c>
      <c r="F64" s="56"/>
    </row>
    <row r="65" spans="1:8" ht="21.75" customHeight="1">
      <c r="A65" s="5" t="s">
        <v>68</v>
      </c>
      <c r="B65" s="6" t="s">
        <v>64</v>
      </c>
      <c r="C65" s="4">
        <f>C40</f>
        <v>944.44399999999996</v>
      </c>
      <c r="D65" s="48"/>
      <c r="E65" s="35">
        <f>E40</f>
        <v>469.92200000000003</v>
      </c>
      <c r="F65" s="56"/>
    </row>
    <row r="66" spans="1:8">
      <c r="A66" s="12"/>
      <c r="B66" s="12"/>
      <c r="C66" s="24"/>
      <c r="D66" s="44"/>
      <c r="E66" s="26"/>
    </row>
    <row r="67" spans="1:8">
      <c r="A67" s="11"/>
      <c r="B67" s="22"/>
      <c r="C67" s="25"/>
      <c r="D67" s="25"/>
      <c r="E67" s="27"/>
    </row>
    <row r="68" spans="1:8">
      <c r="A68" s="73"/>
      <c r="B68" s="13"/>
      <c r="C68" s="16"/>
      <c r="D68" s="45"/>
      <c r="E68" s="29"/>
    </row>
    <row r="69" spans="1:8" ht="15" customHeight="1">
      <c r="A69" s="73"/>
      <c r="B69" s="21"/>
      <c r="C69" s="17"/>
      <c r="D69" s="46"/>
      <c r="E69" s="64" t="s">
        <v>85</v>
      </c>
      <c r="F69" s="64"/>
      <c r="G69" s="64"/>
      <c r="H69" s="64"/>
    </row>
    <row r="70" spans="1:8">
      <c r="B70" s="23"/>
    </row>
  </sheetData>
  <mergeCells count="13">
    <mergeCell ref="F61:F62"/>
    <mergeCell ref="A1:E1"/>
    <mergeCell ref="A4:A5"/>
    <mergeCell ref="B4:B5"/>
    <mergeCell ref="C4:C5"/>
    <mergeCell ref="A68:A69"/>
    <mergeCell ref="E4:E5"/>
    <mergeCell ref="A61:A62"/>
    <mergeCell ref="B61:B62"/>
    <mergeCell ref="C61:C62"/>
    <mergeCell ref="E61:E62"/>
    <mergeCell ref="B41:E41"/>
    <mergeCell ref="E69:H69"/>
  </mergeCells>
  <pageMargins left="0.11811023622047245" right="7.874015748031496E-2" top="0.43307086614173229" bottom="0.19685039370078741" header="0.31496062992125984" footer="0.31496062992125984"/>
  <pageSetup paperSize="9" scale="7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СТРУКТУРА НА ОПОВІЩЕННЯ (2)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2021-02-26T09:08:42Z</dcterms:modified>
</cp:coreProperties>
</file>